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23\2026\охрана с октября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Лист1!$A$1:$H$68</definedName>
  </definedNames>
  <calcPr calcId="162913" refMode="R1C1"/>
</workbook>
</file>

<file path=xl/calcChain.xml><?xml version="1.0" encoding="utf-8"?>
<calcChain xmlns="http://schemas.openxmlformats.org/spreadsheetml/2006/main">
  <c r="G22" i="1" l="1"/>
  <c r="G23" i="1" l="1"/>
  <c r="G9" i="1"/>
  <c r="C25" i="1" l="1"/>
  <c r="G25" i="1"/>
  <c r="G32" i="1" l="1"/>
  <c r="C32" i="1"/>
  <c r="G31" i="1"/>
  <c r="G48" i="1" s="1"/>
  <c r="G42" i="1"/>
  <c r="C42" i="1"/>
  <c r="G43" i="1" l="1"/>
  <c r="G44" i="1"/>
  <c r="C64" i="1" l="1"/>
  <c r="C44" i="1"/>
  <c r="G45" i="1"/>
  <c r="G46" i="1" s="1"/>
  <c r="C43" i="1"/>
  <c r="G47" i="1" l="1"/>
  <c r="G49" i="1" s="1"/>
  <c r="G53" i="1" s="1"/>
  <c r="C45" i="1"/>
  <c r="C46" i="1" s="1"/>
  <c r="C31" i="1"/>
  <c r="C48" i="1" s="1"/>
  <c r="G54" i="1" l="1"/>
  <c r="G55" i="1" s="1"/>
  <c r="G56" i="1" s="1"/>
  <c r="G57" i="1" s="1"/>
  <c r="G58" i="1" s="1"/>
  <c r="C47" i="1"/>
  <c r="C49" i="1" s="1"/>
  <c r="C53" i="1" s="1"/>
  <c r="C54" i="1" s="1"/>
  <c r="C55" i="1" s="1"/>
  <c r="C56" i="1" s="1"/>
  <c r="C57" i="1" s="1"/>
  <c r="C58" i="1" s="1"/>
</calcChain>
</file>

<file path=xl/sharedStrings.xml><?xml version="1.0" encoding="utf-8"?>
<sst xmlns="http://schemas.openxmlformats.org/spreadsheetml/2006/main" count="164" uniqueCount="87">
  <si>
    <t>ОБОСНОВАНИЕ НАЧАЛЬНОЙ (МАКСИМАЛЬНОЙ) ЦЕНЫ КОНТРАКТА</t>
  </si>
  <si>
    <t>ДЛЯ УСЛУГ ОХРАНЫ</t>
  </si>
  <si>
    <t>Дата подготовки обоснования начальной (максимальной) цены контракта, начальной суммы цен единиц товара, работы, услуги</t>
  </si>
  <si>
    <t>Заказчик</t>
  </si>
  <si>
    <t>Предмет контракта - Услуги частной охраны (Выставление поста охраны)</t>
  </si>
  <si>
    <t>Используемый метод определения начальной (максимальной) цены контракта, начальной суммы цен единиц товара, работы, услуги: В соответствии с ч.22 ст.22 Закона №44-ФЗ "О контрактной системе в сфере закупок товаров, работ, услуг для обеспечения государственных и муниципальных нужд"</t>
  </si>
  <si>
    <t>Обоснование выбранного метода обоснования начальной (максимальной) цены контракта, начальной суммы цен единиц товара, работы, услуги: ПРИКАЗ ФЕДЕРАЛЬНОЙ СЛУЖБЫ ВОЙСК НАЦИОНАЛЬНОЙ ГВАРДИИ РОССИЙСКОЙ ФЕДЕРАЦИИ от 15 февраля 2021г. №45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</t>
  </si>
  <si>
    <t>1. Определение общих используемых параметров</t>
  </si>
  <si>
    <t>Константа</t>
  </si>
  <si>
    <t>Наименование</t>
  </si>
  <si>
    <t>Значение</t>
  </si>
  <si>
    <t>n</t>
  </si>
  <si>
    <t>Количество требуемых постов охраны по контракту, пост (человек)</t>
  </si>
  <si>
    <t>Количество нерабочих праздничных дней по контракту, дней</t>
  </si>
  <si>
    <t>Ku</t>
  </si>
  <si>
    <t>Количество часов работы постов охраны по контракту                                (колич_часов_в_сутки * колич_дней), часов</t>
  </si>
  <si>
    <t>Общее количество человеко-часов (по всем постам)</t>
  </si>
  <si>
    <t>МРОТ</t>
  </si>
  <si>
    <t>СНР</t>
  </si>
  <si>
    <t>Iинфл</t>
  </si>
  <si>
    <t>Индекс потребительских цен</t>
  </si>
  <si>
    <t>НДС</t>
  </si>
  <si>
    <t>Налог на добавленную стоимость, %</t>
  </si>
  <si>
    <t>Y</t>
  </si>
  <si>
    <t>Ставка страховых взносов, %</t>
  </si>
  <si>
    <t>2. Расчет корректирующего коэффициента</t>
  </si>
  <si>
    <t>U</t>
  </si>
  <si>
    <t>Корректирующий коэффициент. U=Uб+Uд1+Uд2+Uд3+Uд3+Uд4+Uд5 (сумма Uд не может превышать 0,35)</t>
  </si>
  <si>
    <t>Uб</t>
  </si>
  <si>
    <t>Uд1</t>
  </si>
  <si>
    <t>Дополнительный коэффициент (наличие спецсредств у работника) да=0,05; нет=0</t>
  </si>
  <si>
    <t>Uд2</t>
  </si>
  <si>
    <t>Дополнительный коэффициент (наличие служебного оружия у работника) да=0,2; нет=0</t>
  </si>
  <si>
    <t>Uд3</t>
  </si>
  <si>
    <t>Дополнительный коэффициент (обеспечение порядка в местах проведения массовых мероприятий) да=0,3; нет=0</t>
  </si>
  <si>
    <t>Uд4</t>
  </si>
  <si>
    <t>Дополнительный коэффициент (объект с требованиями по антитеррористической защищенности) да=0,1; нет=0</t>
  </si>
  <si>
    <t>Uд5</t>
  </si>
  <si>
    <t>Дополнительный коэффициент (наличие допуска к государственной тайне работника и режимно-секретного подразделения) да=0,05; нет=0</t>
  </si>
  <si>
    <t>3. Расчет прямых затрат Cu:</t>
  </si>
  <si>
    <t>Переменная</t>
  </si>
  <si>
    <t>Результат</t>
  </si>
  <si>
    <t>БЗП</t>
  </si>
  <si>
    <t>Базовая заработная плата (МРОТ/СНР), руб/час</t>
  </si>
  <si>
    <t>Дн</t>
  </si>
  <si>
    <r>
      <t>Доплата за ночные часы (</t>
    </r>
    <r>
      <rPr>
        <b/>
        <i/>
        <sz val="12"/>
        <color theme="1"/>
        <rFont val="Times New Roman"/>
        <family val="1"/>
        <charset val="204"/>
      </rPr>
      <t>только для 24 часовых постов)</t>
    </r>
    <r>
      <rPr>
        <sz val="12"/>
        <color theme="1"/>
        <rFont val="Times New Roman"/>
        <family val="1"/>
        <charset val="204"/>
      </rPr>
      <t>, руб/час          Расчет: (БЗП*20%)*колич_ночных часов / Ku</t>
    </r>
  </si>
  <si>
    <t>Двп</t>
  </si>
  <si>
    <t>Дрк</t>
  </si>
  <si>
    <t>Районный коэффициент. Размер коэффициента и порядок его применения устанавливаются Правительством РФ, руб/час</t>
  </si>
  <si>
    <t>РО</t>
  </si>
  <si>
    <t>Резерв на отпуск (БЗП + Дн + Двп + Дрк) / 12, руб/час</t>
  </si>
  <si>
    <t>СВ</t>
  </si>
  <si>
    <t>Страховые взносы (БЗП + Дн + Двп + Дрк + РО) * 30,2%, руб/час</t>
  </si>
  <si>
    <t>Корректирующий коэффициент</t>
  </si>
  <si>
    <t>Cu</t>
  </si>
  <si>
    <t>Прямые затраты на часовую работу u-го поста охраны в составе одного работника в смене, руб/час</t>
  </si>
  <si>
    <t>4. Расчет НМЦК:</t>
  </si>
  <si>
    <t>Cu*Ku</t>
  </si>
  <si>
    <t>Прямые затраты охраны в смене, руб</t>
  </si>
  <si>
    <t>КР</t>
  </si>
  <si>
    <t>Косвенные расходы (20% от суммы прямых затрат), руб</t>
  </si>
  <si>
    <t>П</t>
  </si>
  <si>
    <t>Прибыль (5% от суммы прямых и косвенных затрат), руб</t>
  </si>
  <si>
    <t>Полный расчет с НДС и инфляцией (Н(М)ЦК (согласно Приказа ФЕДЕРАЛЬНОЙ СЛУЖБЫ ВОЙСК НАЦИОНАЛЬНОЙ ГВАРДИИ РОССИЙСКОЙ ФЕДЕРАЦИИ от 15 февраля 2021г. №45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услуг", рублей</t>
  </si>
  <si>
    <t>Стоимость охранных услуг расчетная, человеко-час</t>
  </si>
  <si>
    <t>Понижающий коэффициент</t>
  </si>
  <si>
    <t>Стоимость охранных услуг, человеко-час</t>
  </si>
  <si>
    <t>В соответствии с коэффициентом Заказчика, Н(М)ЦК составляет (руб)</t>
  </si>
  <si>
    <t xml:space="preserve">                                                   (подпись)                                                  </t>
  </si>
  <si>
    <t>(И.О. Фамилия)</t>
  </si>
  <si>
    <t>Базовый коэффициент (Uб=2-0,0417*колич_часов_раб_поста;              12ч = 1,5; 24ч = 1)</t>
  </si>
  <si>
    <t>Приложение №2</t>
  </si>
  <si>
    <t>Количество дневных часов работы поста в день, часов</t>
  </si>
  <si>
    <t>Количество ночных часов работы поста в день, часов</t>
  </si>
  <si>
    <t>Количество дней работы поста по контракту, дней</t>
  </si>
  <si>
    <t xml:space="preserve">Предмет контракта - Услуги частной охраны (Выставление поста охраны) </t>
  </si>
  <si>
    <t>к извещению об осуществлении закупки</t>
  </si>
  <si>
    <t>Условия расчета: 24 часов/сутки, 2026 год</t>
  </si>
  <si>
    <t>Условия расчета: 12 часов/сутки, 2026 год</t>
  </si>
  <si>
    <t>Доплата за нерабочие праздничные дни (расчет осуществляется по производственному календарю на 2026г.), руб/час</t>
  </si>
  <si>
    <t>Среднемесячная норма рабочего времени, часов                                         СНР=1972 часа / 12 мес. = 164,33 часа (из производственного календаря на 2026 г.)</t>
  </si>
  <si>
    <t xml:space="preserve">Пост охраны </t>
  </si>
  <si>
    <t>МАОУ «Гимназия № 23 г. Челябинска»</t>
  </si>
  <si>
    <t>Для приведения Н(М)ЦК в соответствие с утвержденными лимитами Плана финансово-хозяйственной деятельности на 2026 год и плановый период 2027 и 2028 годов, Заказчиком применен понижающий коэффициент, руководствуясь частью 2 статьи 72 Бюджетного кодекса Российской Федерации.</t>
  </si>
  <si>
    <t>Планом финансово-хозяйственной деятельности учреждения на 2026 год и плановый период 2027 и 2028 годов установлена сумма финансирования на услуги частной охранной деятельности на 2026 год менее рассчитанной в соответствии с Приказом ФЕДЕРАЛЬНОЙ СЛУЖБЫ ВОЙСК НАЦИОНАЛЬНОЙ ГВАРДИИ РОССИЙСКОЙ ФЕДЕРАЦИИ от 15 февраля 2021г. №45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</t>
  </si>
  <si>
    <t>Контрактный управляющий Бучельникова М.Н.</t>
  </si>
  <si>
    <t>Минимальный размер оплаты труда на 2026 год (№429-ФЗ от 28.11.2025г 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</si>
</sst>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65" fontId="1" fillId="0" borderId="1" xfId="0" applyNumberFormat="1" applyFont="1" applyBorder="1" applyAlignment="1">
      <alignment horizontal="center" wrapText="1"/>
    </xf>
    <xf numFmtId="164" fontId="1" fillId="0" borderId="0" xfId="1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104774</xdr:colOff>
      <xdr:row>39</xdr:row>
      <xdr:rowOff>33337</xdr:rowOff>
    </xdr:from>
    <xdr:ext cx="395287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04774" y="11063287"/>
              <a:ext cx="39528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𝐶𝑢</m:t>
                  </m:r>
                  <m:r>
                    <a:rPr lang="en-US" sz="1100" b="0" i="1">
                      <a:latin typeface="Cambria Math"/>
                    </a:rPr>
                    <m:t>=(БЗП+Дн+Двп+Дрк+РО+СВ)</m:t>
                  </m:r>
                </m:oMath>
              </a14:m>
              <a:r>
                <a:rPr lang="ru-RU" sz="1100"/>
                <a:t> * </a:t>
              </a:r>
              <a:r>
                <a:rPr lang="en-US" sz="1100"/>
                <a:t>U</a:t>
              </a:r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4774" y="11063287"/>
              <a:ext cx="39528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𝐶𝑢=(</a:t>
              </a:r>
              <a:r>
                <a:rPr lang="ru-RU" sz="1100" b="0" i="0">
                  <a:latin typeface="Cambria Math"/>
                </a:rPr>
                <a:t>БЗП+Дн+Двп+Дрк+РО+СВ)</a:t>
              </a:r>
              <a:r>
                <a:rPr lang="ru-RU" sz="1100"/>
                <a:t> * </a:t>
              </a:r>
              <a:r>
                <a:rPr lang="en-US" sz="1100"/>
                <a:t>U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0</xdr:col>
      <xdr:colOff>76200</xdr:colOff>
      <xdr:row>50</xdr:row>
      <xdr:rowOff>195261</xdr:rowOff>
    </xdr:from>
    <xdr:ext cx="4972049" cy="3000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76200" y="14387511"/>
              <a:ext cx="4972049" cy="3000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1200" b="0" i="1">
                      <a:latin typeface="Cambria Math"/>
                    </a:rPr>
                    <m:t>Н</m:t>
                  </m:r>
                  <m:d>
                    <m:dPr>
                      <m:ctrlPr>
                        <a:rPr lang="ru-RU" sz="12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ru-RU" sz="1200" b="0" i="1">
                          <a:latin typeface="Cambria Math"/>
                        </a:rPr>
                        <m:t>М</m:t>
                      </m:r>
                    </m:e>
                  </m:d>
                  <m:r>
                    <a:rPr lang="ru-RU" sz="1200" b="0" i="1">
                      <a:latin typeface="Cambria Math"/>
                    </a:rPr>
                    <m:t>ЦК</m:t>
                  </m:r>
                </m:oMath>
              </a14:m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 = (</a:t>
              </a:r>
              <a14:m>
                <m:oMath xmlns:m="http://schemas.openxmlformats.org/officeDocument/2006/math">
                  <m:nary>
                    <m:naryPr>
                      <m:chr m:val="∑"/>
                      <m:ctrlPr>
                        <a:rPr lang="en-US" sz="1200" i="1">
                          <a:latin typeface="Cambria Math" panose="02040503050406030204" pitchFamily="18" charset="0"/>
                          <a:cs typeface="Times New Roman" pitchFamily="18" charset="0"/>
                        </a:rPr>
                      </m:ctrlPr>
                    </m:naryPr>
                    <m:sub>
                      <m:r>
                        <m:rPr>
                          <m:brk m:alnAt="23"/>
                        </m:rP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𝑢</m:t>
                      </m:r>
                      <m:r>
                        <a:rPr lang="en-US" sz="1200" i="1">
                          <a:latin typeface="Cambria Math"/>
                          <a:cs typeface="Times New Roman" pitchFamily="18" charset="0"/>
                        </a:rPr>
                        <m:t>=</m:t>
                      </m:r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1</m:t>
                      </m:r>
                    </m:sub>
                    <m:sup>
                      <m:r>
                        <a:rPr lang="en-US" sz="1200" i="1">
                          <a:latin typeface="Cambria Math"/>
                          <a:cs typeface="Times New Roman" pitchFamily="18" charset="0"/>
                        </a:rPr>
                        <m:t>𝑛</m:t>
                      </m:r>
                    </m:sup>
                    <m:e>
                      <m:d>
                        <m:dPr>
                          <m:ctrlPr>
                            <a:rPr lang="en-US" sz="1200" b="0" i="1">
                              <a:latin typeface="Cambria Math" panose="02040503050406030204" pitchFamily="18" charset="0"/>
                              <a:cs typeface="Times New Roman" pitchFamily="18" charset="0"/>
                            </a:rPr>
                          </m:ctrlPr>
                        </m:dPr>
                        <m:e>
                          <m:r>
                            <a:rPr lang="en-US" sz="1200" b="0" i="1">
                              <a:latin typeface="Cambria Math"/>
                              <a:cs typeface="Times New Roman" pitchFamily="18" charset="0"/>
                            </a:rPr>
                            <m:t>𝐶𝑢</m:t>
                          </m:r>
                          <m:r>
                            <a:rPr lang="en-US" sz="1200" b="0" i="1">
                              <a:latin typeface="Cambria Math"/>
                              <a:cs typeface="Times New Roman" pitchFamily="18" charset="0"/>
                            </a:rPr>
                            <m:t> ∗</m:t>
                          </m:r>
                          <m:r>
                            <a:rPr lang="en-US" sz="1200" b="0" i="1">
                              <a:latin typeface="Cambria Math"/>
                              <a:cs typeface="Times New Roman" pitchFamily="18" charset="0"/>
                            </a:rPr>
                            <m:t>𝐾𝑢</m:t>
                          </m:r>
                        </m:e>
                      </m:d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+</m:t>
                      </m:r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𝐾𝑃</m:t>
                      </m:r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+НП+Стсо+Сзж</m:t>
                      </m:r>
                    </m:e>
                  </m:nary>
                </m:oMath>
              </a14:m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) * </a:t>
              </a:r>
              <a:r>
                <a:rPr lang="en-US" sz="1200">
                  <a:latin typeface="Times New Roman" pitchFamily="18" charset="0"/>
                  <a:cs typeface="Times New Roman" pitchFamily="18" charset="0"/>
                </a:rPr>
                <a:t>I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инфл + НДС</a:t>
              </a: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76200" y="14387511"/>
              <a:ext cx="4972049" cy="3000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200" b="0" i="0">
                  <a:latin typeface="Cambria Math"/>
                </a:rPr>
                <a:t>Н(М)ЦК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 = (</a:t>
              </a:r>
              <a:r>
                <a:rPr lang="en-US" sz="1200" i="0">
                  <a:latin typeface="Cambria Math"/>
                  <a:cs typeface="Times New Roman" pitchFamily="18" charset="0"/>
                </a:rPr>
                <a:t>∑24_(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𝑢</a:t>
              </a:r>
              <a:r>
                <a:rPr lang="en-US" sz="1200" i="0">
                  <a:latin typeface="Cambria Math"/>
                  <a:cs typeface="Times New Roman" pitchFamily="18" charset="0"/>
                </a:rPr>
                <a:t>=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1)^</a:t>
              </a:r>
              <a:r>
                <a:rPr lang="en-US" sz="1200" i="0">
                  <a:latin typeface="Cambria Math"/>
                  <a:cs typeface="Times New Roman" pitchFamily="18" charset="0"/>
                </a:rPr>
                <a:t>𝑛▒〖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(𝐶𝑢 ∗𝐾𝑢)+𝐾𝑃+</a:t>
              </a:r>
              <a:r>
                <a:rPr lang="ru-RU" sz="1200" b="0" i="0">
                  <a:latin typeface="Cambria Math"/>
                  <a:cs typeface="Times New Roman" pitchFamily="18" charset="0"/>
                </a:rPr>
                <a:t>НП+Стсо+Сзж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〗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) * </a:t>
              </a:r>
              <a:r>
                <a:rPr lang="en-US" sz="1200">
                  <a:latin typeface="Times New Roman" pitchFamily="18" charset="0"/>
                  <a:cs typeface="Times New Roman" pitchFamily="18" charset="0"/>
                </a:rPr>
                <a:t>I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инфл + НДС</a:t>
              </a:r>
            </a:p>
          </xdr:txBody>
        </xdr:sp>
      </mc:Fallback>
    </mc:AlternateContent>
    <xdr:clientData/>
  </xdr:oneCellAnchor>
  <xdr:oneCellAnchor>
    <xdr:from>
      <xdr:col>4</xdr:col>
      <xdr:colOff>104774</xdr:colOff>
      <xdr:row>39</xdr:row>
      <xdr:rowOff>33337</xdr:rowOff>
    </xdr:from>
    <xdr:ext cx="3952875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0FEAEEC-D312-446F-9181-F2F3B9FF1C35}"/>
                </a:ext>
              </a:extLst>
            </xdr:cNvPr>
            <xdr:cNvSpPr txBox="1"/>
          </xdr:nvSpPr>
          <xdr:spPr>
            <a:xfrm>
              <a:off x="104774" y="11863387"/>
              <a:ext cx="39528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𝐶𝑢</m:t>
                  </m:r>
                  <m:r>
                    <a:rPr lang="en-US" sz="1100" b="0" i="1">
                      <a:latin typeface="Cambria Math"/>
                    </a:rPr>
                    <m:t>=(БЗП+Дн+Двп+Дрк+РО+СВ)</m:t>
                  </m:r>
                </m:oMath>
              </a14:m>
              <a:r>
                <a:rPr lang="ru-RU" sz="1100"/>
                <a:t> * </a:t>
              </a:r>
              <a:r>
                <a:rPr lang="en-US" sz="1100"/>
                <a:t>U</a:t>
              </a:r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0FEAEEC-D312-446F-9181-F2F3B9FF1C35}"/>
                </a:ext>
              </a:extLst>
            </xdr:cNvPr>
            <xdr:cNvSpPr txBox="1"/>
          </xdr:nvSpPr>
          <xdr:spPr>
            <a:xfrm>
              <a:off x="104774" y="11863387"/>
              <a:ext cx="395287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𝐶𝑢=(БЗП+Дн+Двп+Дрк+РО+СВ)</a:t>
              </a:r>
              <a:r>
                <a:rPr lang="ru-RU" sz="1100"/>
                <a:t> * </a:t>
              </a:r>
              <a:r>
                <a:rPr lang="en-US" sz="1100"/>
                <a:t>U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4</xdr:col>
      <xdr:colOff>76200</xdr:colOff>
      <xdr:row>50</xdr:row>
      <xdr:rowOff>195261</xdr:rowOff>
    </xdr:from>
    <xdr:ext cx="4972049" cy="3000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DC32E3AE-29E3-4C24-97CB-0CA30DD8C233}"/>
                </a:ext>
              </a:extLst>
            </xdr:cNvPr>
            <xdr:cNvSpPr txBox="1"/>
          </xdr:nvSpPr>
          <xdr:spPr>
            <a:xfrm>
              <a:off x="76200" y="15187611"/>
              <a:ext cx="4972049" cy="3000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ru-RU" sz="1200" b="0" i="1">
                      <a:latin typeface="Cambria Math"/>
                    </a:rPr>
                    <m:t>Н</m:t>
                  </m:r>
                  <m:d>
                    <m:dPr>
                      <m:ctrlPr>
                        <a:rPr lang="ru-RU" sz="12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ru-RU" sz="1200" b="0" i="1">
                          <a:latin typeface="Cambria Math"/>
                        </a:rPr>
                        <m:t>М</m:t>
                      </m:r>
                    </m:e>
                  </m:d>
                  <m:r>
                    <a:rPr lang="ru-RU" sz="1200" b="0" i="1">
                      <a:latin typeface="Cambria Math"/>
                    </a:rPr>
                    <m:t>ЦК</m:t>
                  </m:r>
                </m:oMath>
              </a14:m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 = (</a:t>
              </a:r>
              <a14:m>
                <m:oMath xmlns:m="http://schemas.openxmlformats.org/officeDocument/2006/math">
                  <m:nary>
                    <m:naryPr>
                      <m:chr m:val="∑"/>
                      <m:ctrlPr>
                        <a:rPr lang="en-US" sz="1200" i="1">
                          <a:latin typeface="Cambria Math" panose="02040503050406030204" pitchFamily="18" charset="0"/>
                          <a:cs typeface="Times New Roman" pitchFamily="18" charset="0"/>
                        </a:rPr>
                      </m:ctrlPr>
                    </m:naryPr>
                    <m:sub>
                      <m:r>
                        <m:rPr>
                          <m:brk m:alnAt="23"/>
                        </m:rP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𝑢</m:t>
                      </m:r>
                      <m:r>
                        <a:rPr lang="en-US" sz="1200" i="1">
                          <a:latin typeface="Cambria Math"/>
                          <a:cs typeface="Times New Roman" pitchFamily="18" charset="0"/>
                        </a:rPr>
                        <m:t>=</m:t>
                      </m:r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1</m:t>
                      </m:r>
                    </m:sub>
                    <m:sup>
                      <m:r>
                        <a:rPr lang="en-US" sz="1200" i="1">
                          <a:latin typeface="Cambria Math"/>
                          <a:cs typeface="Times New Roman" pitchFamily="18" charset="0"/>
                        </a:rPr>
                        <m:t>𝑛</m:t>
                      </m:r>
                    </m:sup>
                    <m:e>
                      <m:d>
                        <m:dPr>
                          <m:ctrlPr>
                            <a:rPr lang="en-US" sz="1200" b="0" i="1">
                              <a:latin typeface="Cambria Math" panose="02040503050406030204" pitchFamily="18" charset="0"/>
                              <a:cs typeface="Times New Roman" pitchFamily="18" charset="0"/>
                            </a:rPr>
                          </m:ctrlPr>
                        </m:dPr>
                        <m:e>
                          <m:r>
                            <a:rPr lang="en-US" sz="1200" b="0" i="1">
                              <a:latin typeface="Cambria Math"/>
                              <a:cs typeface="Times New Roman" pitchFamily="18" charset="0"/>
                            </a:rPr>
                            <m:t>𝐶𝑢</m:t>
                          </m:r>
                          <m:r>
                            <a:rPr lang="en-US" sz="1200" b="0" i="1">
                              <a:latin typeface="Cambria Math"/>
                              <a:cs typeface="Times New Roman" pitchFamily="18" charset="0"/>
                            </a:rPr>
                            <m:t> ∗</m:t>
                          </m:r>
                          <m:r>
                            <a:rPr lang="en-US" sz="1200" b="0" i="1">
                              <a:latin typeface="Cambria Math"/>
                              <a:cs typeface="Times New Roman" pitchFamily="18" charset="0"/>
                            </a:rPr>
                            <m:t>𝐾𝑢</m:t>
                          </m:r>
                        </m:e>
                      </m:d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+</m:t>
                      </m:r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𝐾𝑃</m:t>
                      </m:r>
                      <m:r>
                        <a:rPr lang="en-US" sz="1200" b="0" i="1">
                          <a:latin typeface="Cambria Math"/>
                          <a:cs typeface="Times New Roman" pitchFamily="18" charset="0"/>
                        </a:rPr>
                        <m:t>+НП+Стсо+Сзж</m:t>
                      </m:r>
                    </m:e>
                  </m:nary>
                </m:oMath>
              </a14:m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) * </a:t>
              </a:r>
              <a:r>
                <a:rPr lang="en-US" sz="1200">
                  <a:latin typeface="Times New Roman" pitchFamily="18" charset="0"/>
                  <a:cs typeface="Times New Roman" pitchFamily="18" charset="0"/>
                </a:rPr>
                <a:t>I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инфл + НДС</a:t>
              </a:r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DC32E3AE-29E3-4C24-97CB-0CA30DD8C233}"/>
                </a:ext>
              </a:extLst>
            </xdr:cNvPr>
            <xdr:cNvSpPr txBox="1"/>
          </xdr:nvSpPr>
          <xdr:spPr>
            <a:xfrm>
              <a:off x="76200" y="15187611"/>
              <a:ext cx="4972049" cy="3000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ru-RU" sz="1200" b="0" i="0">
                  <a:latin typeface="Cambria Math"/>
                </a:rPr>
                <a:t>Н</a:t>
              </a:r>
              <a:r>
                <a:rPr lang="ru-RU" sz="1200" b="0" i="0">
                  <a:latin typeface="Cambria Math" panose="02040503050406030204" pitchFamily="18" charset="0"/>
                </a:rPr>
                <a:t>(</a:t>
              </a:r>
              <a:r>
                <a:rPr lang="ru-RU" sz="1200" b="0" i="0">
                  <a:latin typeface="Cambria Math"/>
                </a:rPr>
                <a:t>М</a:t>
              </a:r>
              <a:r>
                <a:rPr lang="ru-RU" sz="1200" b="0" i="0">
                  <a:latin typeface="Cambria Math" panose="02040503050406030204" pitchFamily="18" charset="0"/>
                </a:rPr>
                <a:t>)</a:t>
              </a:r>
              <a:r>
                <a:rPr lang="ru-RU" sz="1200" b="0" i="0">
                  <a:latin typeface="Cambria Math"/>
                </a:rPr>
                <a:t>ЦК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 = (</a:t>
              </a:r>
              <a:r>
                <a:rPr lang="en-US" sz="1200" i="0">
                  <a:latin typeface="Cambria Math" panose="02040503050406030204" pitchFamily="18" charset="0"/>
                  <a:cs typeface="Times New Roman" pitchFamily="18" charset="0"/>
                </a:rPr>
                <a:t>∑</a:t>
              </a:r>
              <a:r>
                <a:rPr lang="en-US" sz="1200" b="0" i="0">
                  <a:latin typeface="Cambria Math" panose="02040503050406030204" pitchFamily="18" charset="0"/>
                  <a:cs typeface="Times New Roman" pitchFamily="18" charset="0"/>
                </a:rPr>
                <a:t>_(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𝑢</a:t>
              </a:r>
              <a:r>
                <a:rPr lang="en-US" sz="1200" i="0">
                  <a:latin typeface="Cambria Math"/>
                  <a:cs typeface="Times New Roman" pitchFamily="18" charset="0"/>
                </a:rPr>
                <a:t>=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1</a:t>
              </a:r>
              <a:r>
                <a:rPr lang="en-US" sz="1200" b="0" i="0">
                  <a:latin typeface="Cambria Math" panose="02040503050406030204" pitchFamily="18" charset="0"/>
                  <a:cs typeface="Times New Roman" pitchFamily="18" charset="0"/>
                </a:rPr>
                <a:t>)^</a:t>
              </a:r>
              <a:r>
                <a:rPr lang="en-US" sz="1200" i="0">
                  <a:latin typeface="Cambria Math"/>
                  <a:cs typeface="Times New Roman" pitchFamily="18" charset="0"/>
                </a:rPr>
                <a:t>𝑛</a:t>
              </a:r>
              <a:r>
                <a:rPr lang="en-US" sz="1200" b="0" i="0">
                  <a:latin typeface="Cambria Math" panose="02040503050406030204" pitchFamily="18" charset="0"/>
                  <a:cs typeface="Times New Roman" pitchFamily="18" charset="0"/>
                </a:rPr>
                <a:t>▒〖(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𝐶𝑢 ∗𝐾𝑢</a:t>
              </a:r>
              <a:r>
                <a:rPr lang="en-US" sz="1200" b="0" i="0">
                  <a:latin typeface="Cambria Math" panose="02040503050406030204" pitchFamily="18" charset="0"/>
                  <a:cs typeface="Times New Roman" pitchFamily="18" charset="0"/>
                </a:rPr>
                <a:t>)</a:t>
              </a:r>
              <a:r>
                <a:rPr lang="en-US" sz="1200" b="0" i="0">
                  <a:latin typeface="Cambria Math"/>
                  <a:cs typeface="Times New Roman" pitchFamily="18" charset="0"/>
                </a:rPr>
                <a:t>+𝐾𝑃+НП+Стсо+Сзж</a:t>
              </a:r>
              <a:r>
                <a:rPr lang="en-US" sz="1200" b="0" i="0">
                  <a:latin typeface="Cambria Math" panose="02040503050406030204" pitchFamily="18" charset="0"/>
                  <a:cs typeface="Times New Roman" pitchFamily="18" charset="0"/>
                </a:rPr>
                <a:t>〗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) * </a:t>
              </a:r>
              <a:r>
                <a:rPr lang="en-US" sz="1200">
                  <a:latin typeface="Times New Roman" pitchFamily="18" charset="0"/>
                  <a:cs typeface="Times New Roman" pitchFamily="18" charset="0"/>
                </a:rPr>
                <a:t>I</a:t>
              </a:r>
              <a:r>
                <a:rPr lang="ru-RU" sz="1200">
                  <a:latin typeface="Times New Roman" pitchFamily="18" charset="0"/>
                  <a:cs typeface="Times New Roman" pitchFamily="18" charset="0"/>
                </a:rPr>
                <a:t>инфл + НДС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55" zoomScale="70" zoomScaleNormal="70" workbookViewId="0">
      <selection activeCell="B24" sqref="B24"/>
    </sheetView>
  </sheetViews>
  <sheetFormatPr defaultColWidth="9.109375" defaultRowHeight="15.6" x14ac:dyDescent="0.3"/>
  <cols>
    <col min="1" max="1" width="23.6640625" style="1" customWidth="1"/>
    <col min="2" max="2" width="70.109375" style="1" customWidth="1"/>
    <col min="3" max="3" width="23.6640625" style="12" customWidth="1"/>
    <col min="4" max="4" width="9.109375" style="1"/>
    <col min="5" max="5" width="25.5546875" style="1" customWidth="1"/>
    <col min="6" max="6" width="68.33203125" style="1" customWidth="1"/>
    <col min="7" max="7" width="32.109375" style="1" customWidth="1"/>
    <col min="8" max="8" width="15.109375" style="1" customWidth="1"/>
    <col min="9" max="16384" width="9.109375" style="1"/>
  </cols>
  <sheetData>
    <row r="1" spans="1:7" x14ac:dyDescent="0.3">
      <c r="G1" s="18" t="s">
        <v>71</v>
      </c>
    </row>
    <row r="2" spans="1:7" x14ac:dyDescent="0.3">
      <c r="G2" s="19" t="s">
        <v>76</v>
      </c>
    </row>
    <row r="4" spans="1:7" ht="15.75" customHeight="1" x14ac:dyDescent="0.3">
      <c r="A4" s="29" t="s">
        <v>0</v>
      </c>
      <c r="B4" s="29"/>
      <c r="C4" s="29"/>
      <c r="D4" s="29"/>
      <c r="E4" s="29"/>
      <c r="F4" s="29"/>
      <c r="G4" s="29"/>
    </row>
    <row r="5" spans="1:7" ht="15.75" customHeight="1" x14ac:dyDescent="0.3">
      <c r="A5" s="29" t="s">
        <v>1</v>
      </c>
      <c r="B5" s="29"/>
      <c r="C5" s="29"/>
      <c r="D5" s="29"/>
      <c r="E5" s="29"/>
      <c r="F5" s="29"/>
      <c r="G5" s="29"/>
    </row>
    <row r="7" spans="1:7" ht="15.75" customHeight="1" x14ac:dyDescent="0.3">
      <c r="A7" s="24" t="s">
        <v>77</v>
      </c>
      <c r="B7" s="24"/>
      <c r="C7" s="24"/>
      <c r="E7" s="24" t="s">
        <v>78</v>
      </c>
      <c r="F7" s="24"/>
      <c r="G7" s="24"/>
    </row>
    <row r="8" spans="1:7" x14ac:dyDescent="0.3">
      <c r="A8" s="1" t="s">
        <v>81</v>
      </c>
      <c r="E8" s="1" t="s">
        <v>81</v>
      </c>
      <c r="G8" s="12"/>
    </row>
    <row r="9" spans="1:7" ht="31.5" customHeight="1" x14ac:dyDescent="0.3">
      <c r="A9" s="23" t="s">
        <v>2</v>
      </c>
      <c r="B9" s="23"/>
      <c r="C9" s="10">
        <v>46092</v>
      </c>
      <c r="E9" s="32" t="s">
        <v>2</v>
      </c>
      <c r="F9" s="33"/>
      <c r="G9" s="10">
        <f>C9</f>
        <v>46092</v>
      </c>
    </row>
    <row r="10" spans="1:7" x14ac:dyDescent="0.3">
      <c r="A10" s="2" t="s">
        <v>3</v>
      </c>
      <c r="B10" s="25" t="s">
        <v>82</v>
      </c>
      <c r="C10" s="26"/>
      <c r="E10" s="2" t="s">
        <v>3</v>
      </c>
      <c r="F10" s="25" t="s">
        <v>82</v>
      </c>
      <c r="G10" s="26"/>
    </row>
    <row r="11" spans="1:7" ht="15.75" customHeight="1" x14ac:dyDescent="0.3">
      <c r="A11" s="23" t="s">
        <v>75</v>
      </c>
      <c r="B11" s="23"/>
      <c r="C11" s="23"/>
      <c r="E11" s="32" t="s">
        <v>4</v>
      </c>
      <c r="F11" s="34"/>
      <c r="G11" s="33"/>
    </row>
    <row r="12" spans="1:7" ht="51.75" customHeight="1" x14ac:dyDescent="0.3">
      <c r="A12" s="23" t="s">
        <v>5</v>
      </c>
      <c r="B12" s="23"/>
      <c r="C12" s="23"/>
      <c r="E12" s="32" t="s">
        <v>5</v>
      </c>
      <c r="F12" s="34"/>
      <c r="G12" s="33"/>
    </row>
    <row r="13" spans="1:7" ht="80.25" customHeight="1" x14ac:dyDescent="0.3">
      <c r="A13" s="23" t="s">
        <v>6</v>
      </c>
      <c r="B13" s="23"/>
      <c r="C13" s="23"/>
      <c r="E13" s="32" t="s">
        <v>6</v>
      </c>
      <c r="F13" s="34"/>
      <c r="G13" s="33"/>
    </row>
    <row r="14" spans="1:7" x14ac:dyDescent="0.3">
      <c r="G14" s="12"/>
    </row>
    <row r="15" spans="1:7" ht="15.75" customHeight="1" x14ac:dyDescent="0.3">
      <c r="A15" s="27" t="s">
        <v>7</v>
      </c>
      <c r="B15" s="27"/>
      <c r="C15" s="27"/>
      <c r="E15" s="31" t="s">
        <v>7</v>
      </c>
      <c r="F15" s="31"/>
      <c r="G15" s="31"/>
    </row>
    <row r="16" spans="1:7" s="3" customFormat="1" x14ac:dyDescent="0.3">
      <c r="A16" s="4" t="s">
        <v>8</v>
      </c>
      <c r="B16" s="4" t="s">
        <v>9</v>
      </c>
      <c r="C16" s="4" t="s">
        <v>10</v>
      </c>
      <c r="E16" s="4" t="s">
        <v>8</v>
      </c>
      <c r="F16" s="4" t="s">
        <v>9</v>
      </c>
      <c r="G16" s="4" t="s">
        <v>10</v>
      </c>
    </row>
    <row r="17" spans="1:7" ht="20.25" customHeight="1" x14ac:dyDescent="0.3">
      <c r="A17" s="2" t="s">
        <v>11</v>
      </c>
      <c r="B17" s="2" t="s">
        <v>12</v>
      </c>
      <c r="C17" s="11">
        <v>1</v>
      </c>
      <c r="E17" s="2" t="s">
        <v>11</v>
      </c>
      <c r="F17" s="2" t="s">
        <v>12</v>
      </c>
      <c r="G17" s="11">
        <v>1</v>
      </c>
    </row>
    <row r="18" spans="1:7" ht="15.75" customHeight="1" x14ac:dyDescent="0.3">
      <c r="A18" s="23" t="s">
        <v>72</v>
      </c>
      <c r="B18" s="23"/>
      <c r="C18" s="11">
        <v>16</v>
      </c>
      <c r="E18" s="32" t="s">
        <v>72</v>
      </c>
      <c r="F18" s="33"/>
      <c r="G18" s="11">
        <v>12</v>
      </c>
    </row>
    <row r="19" spans="1:7" ht="15.75" customHeight="1" x14ac:dyDescent="0.3">
      <c r="A19" s="23" t="s">
        <v>73</v>
      </c>
      <c r="B19" s="23"/>
      <c r="C19" s="11">
        <v>8</v>
      </c>
      <c r="E19" s="32" t="s">
        <v>73</v>
      </c>
      <c r="F19" s="33"/>
      <c r="G19" s="11">
        <v>0</v>
      </c>
    </row>
    <row r="20" spans="1:7" ht="15.75" customHeight="1" x14ac:dyDescent="0.3">
      <c r="A20" s="23" t="s">
        <v>74</v>
      </c>
      <c r="B20" s="23"/>
      <c r="C20" s="11">
        <v>15</v>
      </c>
      <c r="E20" s="32" t="s">
        <v>74</v>
      </c>
      <c r="F20" s="33"/>
      <c r="G20" s="11">
        <v>77</v>
      </c>
    </row>
    <row r="21" spans="1:7" ht="15.75" customHeight="1" x14ac:dyDescent="0.3">
      <c r="A21" s="23" t="s">
        <v>13</v>
      </c>
      <c r="B21" s="23"/>
      <c r="C21" s="11">
        <v>2</v>
      </c>
      <c r="E21" s="32" t="s">
        <v>13</v>
      </c>
      <c r="F21" s="33"/>
      <c r="G21" s="11">
        <v>0</v>
      </c>
    </row>
    <row r="22" spans="1:7" ht="30" customHeight="1" x14ac:dyDescent="0.3">
      <c r="A22" s="2" t="s">
        <v>14</v>
      </c>
      <c r="B22" s="2" t="s">
        <v>15</v>
      </c>
      <c r="C22" s="11">
        <v>360</v>
      </c>
      <c r="E22" s="2" t="s">
        <v>14</v>
      </c>
      <c r="F22" s="2" t="s">
        <v>15</v>
      </c>
      <c r="G22" s="11">
        <f>G20*G18</f>
        <v>924</v>
      </c>
    </row>
    <row r="23" spans="1:7" ht="15.75" customHeight="1" x14ac:dyDescent="0.3">
      <c r="A23" s="23" t="s">
        <v>16</v>
      </c>
      <c r="B23" s="23"/>
      <c r="C23" s="11">
        <v>360</v>
      </c>
      <c r="E23" s="32" t="s">
        <v>16</v>
      </c>
      <c r="F23" s="33"/>
      <c r="G23" s="11">
        <f>G22</f>
        <v>924</v>
      </c>
    </row>
    <row r="24" spans="1:7" ht="31.2" x14ac:dyDescent="0.3">
      <c r="A24" s="2" t="s">
        <v>17</v>
      </c>
      <c r="B24" s="2" t="s">
        <v>86</v>
      </c>
      <c r="C24" s="11">
        <v>27093</v>
      </c>
      <c r="E24" s="2" t="s">
        <v>17</v>
      </c>
      <c r="F24" s="2" t="s">
        <v>86</v>
      </c>
      <c r="G24" s="11">
        <v>27093</v>
      </c>
    </row>
    <row r="25" spans="1:7" ht="45" customHeight="1" x14ac:dyDescent="0.3">
      <c r="A25" s="2" t="s">
        <v>18</v>
      </c>
      <c r="B25" s="2" t="s">
        <v>80</v>
      </c>
      <c r="C25" s="14">
        <f>1972/12</f>
        <v>164.33333333333334</v>
      </c>
      <c r="E25" s="2" t="s">
        <v>18</v>
      </c>
      <c r="F25" s="2" t="s">
        <v>80</v>
      </c>
      <c r="G25" s="14">
        <f>1972/12</f>
        <v>164.33333333333334</v>
      </c>
    </row>
    <row r="26" spans="1:7" x14ac:dyDescent="0.3">
      <c r="A26" s="2" t="s">
        <v>19</v>
      </c>
      <c r="B26" s="2" t="s">
        <v>20</v>
      </c>
      <c r="C26" s="11">
        <v>1</v>
      </c>
      <c r="E26" s="2" t="s">
        <v>19</v>
      </c>
      <c r="F26" s="2" t="s">
        <v>20</v>
      </c>
      <c r="G26" s="11">
        <v>1</v>
      </c>
    </row>
    <row r="27" spans="1:7" x14ac:dyDescent="0.3">
      <c r="A27" s="2" t="s">
        <v>21</v>
      </c>
      <c r="B27" s="2" t="s">
        <v>22</v>
      </c>
      <c r="C27" s="11">
        <v>22</v>
      </c>
      <c r="E27" s="2" t="s">
        <v>21</v>
      </c>
      <c r="F27" s="2" t="s">
        <v>22</v>
      </c>
      <c r="G27" s="11">
        <v>22</v>
      </c>
    </row>
    <row r="28" spans="1:7" x14ac:dyDescent="0.3">
      <c r="A28" s="2" t="s">
        <v>23</v>
      </c>
      <c r="B28" s="2" t="s">
        <v>24</v>
      </c>
      <c r="C28" s="11">
        <v>30.2</v>
      </c>
      <c r="E28" s="2" t="s">
        <v>23</v>
      </c>
      <c r="F28" s="2" t="s">
        <v>24</v>
      </c>
      <c r="G28" s="11">
        <v>30.2</v>
      </c>
    </row>
    <row r="29" spans="1:7" x14ac:dyDescent="0.3">
      <c r="G29" s="12"/>
    </row>
    <row r="30" spans="1:7" ht="15.75" customHeight="1" x14ac:dyDescent="0.3">
      <c r="A30" s="27" t="s">
        <v>25</v>
      </c>
      <c r="B30" s="27"/>
      <c r="E30" s="31" t="s">
        <v>25</v>
      </c>
      <c r="F30" s="31"/>
      <c r="G30" s="12"/>
    </row>
    <row r="31" spans="1:7" ht="46.8" x14ac:dyDescent="0.3">
      <c r="A31" s="2" t="s">
        <v>26</v>
      </c>
      <c r="B31" s="2" t="s">
        <v>27</v>
      </c>
      <c r="C31" s="9">
        <f>SUM(C32:C37)</f>
        <v>1.1492000000000002</v>
      </c>
      <c r="E31" s="2" t="s">
        <v>26</v>
      </c>
      <c r="F31" s="2" t="s">
        <v>27</v>
      </c>
      <c r="G31" s="9">
        <f>SUM(G32:G37)</f>
        <v>1.6496000000000002</v>
      </c>
    </row>
    <row r="32" spans="1:7" s="5" customFormat="1" ht="31.2" x14ac:dyDescent="0.3">
      <c r="A32" s="6" t="s">
        <v>28</v>
      </c>
      <c r="B32" s="6" t="s">
        <v>70</v>
      </c>
      <c r="C32" s="13">
        <f>2-0.0417*(C18+C19)</f>
        <v>0.99920000000000009</v>
      </c>
      <c r="E32" s="6" t="s">
        <v>28</v>
      </c>
      <c r="F32" s="6" t="s">
        <v>70</v>
      </c>
      <c r="G32" s="13">
        <f>2-0.0417*(G18+G19)</f>
        <v>1.4996</v>
      </c>
    </row>
    <row r="33" spans="1:7" s="5" customFormat="1" ht="31.2" x14ac:dyDescent="0.3">
      <c r="A33" s="6" t="s">
        <v>29</v>
      </c>
      <c r="B33" s="6" t="s">
        <v>30</v>
      </c>
      <c r="C33" s="13">
        <v>0.05</v>
      </c>
      <c r="E33" s="6" t="s">
        <v>29</v>
      </c>
      <c r="F33" s="6" t="s">
        <v>30</v>
      </c>
      <c r="G33" s="13">
        <v>0.05</v>
      </c>
    </row>
    <row r="34" spans="1:7" s="5" customFormat="1" ht="31.2" x14ac:dyDescent="0.3">
      <c r="A34" s="6" t="s">
        <v>31</v>
      </c>
      <c r="B34" s="6" t="s">
        <v>32</v>
      </c>
      <c r="C34" s="13">
        <v>0</v>
      </c>
      <c r="E34" s="6" t="s">
        <v>31</v>
      </c>
      <c r="F34" s="6" t="s">
        <v>32</v>
      </c>
      <c r="G34" s="13">
        <v>0</v>
      </c>
    </row>
    <row r="35" spans="1:7" ht="31.2" x14ac:dyDescent="0.3">
      <c r="A35" s="6" t="s">
        <v>33</v>
      </c>
      <c r="B35" s="6" t="s">
        <v>34</v>
      </c>
      <c r="C35" s="13">
        <v>0</v>
      </c>
      <c r="E35" s="6" t="s">
        <v>33</v>
      </c>
      <c r="F35" s="6" t="s">
        <v>34</v>
      </c>
      <c r="G35" s="13">
        <v>0</v>
      </c>
    </row>
    <row r="36" spans="1:7" ht="31.2" x14ac:dyDescent="0.3">
      <c r="A36" s="6" t="s">
        <v>35</v>
      </c>
      <c r="B36" s="6" t="s">
        <v>36</v>
      </c>
      <c r="C36" s="13">
        <v>0.1</v>
      </c>
      <c r="E36" s="6" t="s">
        <v>35</v>
      </c>
      <c r="F36" s="6" t="s">
        <v>36</v>
      </c>
      <c r="G36" s="13">
        <v>0.1</v>
      </c>
    </row>
    <row r="37" spans="1:7" ht="46.8" x14ac:dyDescent="0.3">
      <c r="A37" s="6" t="s">
        <v>37</v>
      </c>
      <c r="B37" s="6" t="s">
        <v>38</v>
      </c>
      <c r="C37" s="13">
        <v>0</v>
      </c>
      <c r="E37" s="6" t="s">
        <v>37</v>
      </c>
      <c r="F37" s="6" t="s">
        <v>38</v>
      </c>
      <c r="G37" s="13">
        <v>0</v>
      </c>
    </row>
    <row r="38" spans="1:7" x14ac:dyDescent="0.3">
      <c r="G38" s="12"/>
    </row>
    <row r="39" spans="1:7" ht="15.75" customHeight="1" x14ac:dyDescent="0.3">
      <c r="A39" s="27" t="s">
        <v>39</v>
      </c>
      <c r="B39" s="27"/>
      <c r="E39" s="27" t="s">
        <v>39</v>
      </c>
      <c r="F39" s="27"/>
      <c r="G39" s="12"/>
    </row>
    <row r="40" spans="1:7" ht="27" customHeight="1" x14ac:dyDescent="0.3">
      <c r="A40" s="29"/>
      <c r="B40" s="29"/>
      <c r="E40" s="35"/>
      <c r="F40" s="35"/>
      <c r="G40" s="12"/>
    </row>
    <row r="41" spans="1:7" s="7" customFormat="1" x14ac:dyDescent="0.3">
      <c r="A41" s="8" t="s">
        <v>40</v>
      </c>
      <c r="B41" s="8" t="s">
        <v>9</v>
      </c>
      <c r="C41" s="4" t="s">
        <v>41</v>
      </c>
      <c r="E41" s="8" t="s">
        <v>40</v>
      </c>
      <c r="F41" s="8" t="s">
        <v>9</v>
      </c>
      <c r="G41" s="4" t="s">
        <v>41</v>
      </c>
    </row>
    <row r="42" spans="1:7" x14ac:dyDescent="0.3">
      <c r="A42" s="2" t="s">
        <v>42</v>
      </c>
      <c r="B42" s="2" t="s">
        <v>43</v>
      </c>
      <c r="C42" s="14">
        <f>C24/C25</f>
        <v>164.86612576064908</v>
      </c>
      <c r="E42" s="2" t="s">
        <v>42</v>
      </c>
      <c r="F42" s="2" t="s">
        <v>43</v>
      </c>
      <c r="G42" s="14">
        <f>G24/G25</f>
        <v>164.86612576064908</v>
      </c>
    </row>
    <row r="43" spans="1:7" ht="31.8" x14ac:dyDescent="0.3">
      <c r="A43" s="2" t="s">
        <v>44</v>
      </c>
      <c r="B43" s="2" t="s">
        <v>45</v>
      </c>
      <c r="C43" s="14">
        <f>(C42*20%)*(C19*C20)/C22</f>
        <v>10.99107505070994</v>
      </c>
      <c r="E43" s="2" t="s">
        <v>44</v>
      </c>
      <c r="F43" s="2" t="s">
        <v>45</v>
      </c>
      <c r="G43" s="14">
        <f>(G42*20%)*(G19*G20)/G22</f>
        <v>0</v>
      </c>
    </row>
    <row r="44" spans="1:7" ht="31.2" x14ac:dyDescent="0.3">
      <c r="A44" s="2" t="s">
        <v>46</v>
      </c>
      <c r="B44" s="2" t="s">
        <v>79</v>
      </c>
      <c r="C44" s="14">
        <f>C42*C21*(C18+C19)/C22</f>
        <v>21.982150101419879</v>
      </c>
      <c r="E44" s="2" t="s">
        <v>46</v>
      </c>
      <c r="F44" s="2" t="s">
        <v>79</v>
      </c>
      <c r="G44" s="14">
        <f>G42*G21*(G18+G19)/G22</f>
        <v>0</v>
      </c>
    </row>
    <row r="45" spans="1:7" ht="31.2" x14ac:dyDescent="0.3">
      <c r="A45" s="2" t="s">
        <v>47</v>
      </c>
      <c r="B45" s="2" t="s">
        <v>48</v>
      </c>
      <c r="C45" s="14">
        <f>(C42+C43+C44)*0.15</f>
        <v>29.675902636916835</v>
      </c>
      <c r="E45" s="2" t="s">
        <v>47</v>
      </c>
      <c r="F45" s="2" t="s">
        <v>48</v>
      </c>
      <c r="G45" s="14">
        <f>(G42+G43+G44)*0.15</f>
        <v>24.72991886409736</v>
      </c>
    </row>
    <row r="46" spans="1:7" x14ac:dyDescent="0.3">
      <c r="A46" s="2" t="s">
        <v>49</v>
      </c>
      <c r="B46" s="2" t="s">
        <v>50</v>
      </c>
      <c r="C46" s="14">
        <f>(C42+C43+C44+C45)/12</f>
        <v>18.959604462474648</v>
      </c>
      <c r="E46" s="2" t="s">
        <v>49</v>
      </c>
      <c r="F46" s="2" t="s">
        <v>50</v>
      </c>
      <c r="G46" s="14">
        <f>(G42+G43+G44+G45)/12</f>
        <v>15.799670385395537</v>
      </c>
    </row>
    <row r="47" spans="1:7" x14ac:dyDescent="0.3">
      <c r="A47" s="2" t="s">
        <v>51</v>
      </c>
      <c r="B47" s="2" t="s">
        <v>52</v>
      </c>
      <c r="C47" s="14">
        <f>(C42+C43+C44+C45+C46)*C28/100</f>
        <v>74.43540711967546</v>
      </c>
      <c r="E47" s="2" t="s">
        <v>51</v>
      </c>
      <c r="F47" s="2" t="s">
        <v>52</v>
      </c>
      <c r="G47" s="14">
        <f>(G42+G43+G44+G45+G46)*G28/100</f>
        <v>62.029505933062872</v>
      </c>
    </row>
    <row r="48" spans="1:7" x14ac:dyDescent="0.3">
      <c r="A48" s="2" t="s">
        <v>26</v>
      </c>
      <c r="B48" s="2" t="s">
        <v>53</v>
      </c>
      <c r="C48" s="9">
        <f>C31</f>
        <v>1.1492000000000002</v>
      </c>
      <c r="E48" s="2" t="s">
        <v>26</v>
      </c>
      <c r="F48" s="2" t="s">
        <v>53</v>
      </c>
      <c r="G48" s="9">
        <f>G31</f>
        <v>1.6496000000000002</v>
      </c>
    </row>
    <row r="49" spans="1:8" ht="31.2" x14ac:dyDescent="0.3">
      <c r="A49" s="2" t="s">
        <v>54</v>
      </c>
      <c r="B49" s="2" t="s">
        <v>55</v>
      </c>
      <c r="C49" s="14">
        <f>(C42+C43+C44+C45+C46+C47)*C48</f>
        <v>368.79007668951738</v>
      </c>
      <c r="E49" s="2" t="s">
        <v>54</v>
      </c>
      <c r="F49" s="2" t="s">
        <v>55</v>
      </c>
      <c r="G49" s="14">
        <f>(G42+G43+G44+G45+G46+G47)*G48</f>
        <v>441.14464446791078</v>
      </c>
    </row>
    <row r="50" spans="1:8" x14ac:dyDescent="0.3">
      <c r="G50" s="12"/>
    </row>
    <row r="51" spans="1:8" s="7" customFormat="1" ht="15.75" customHeight="1" x14ac:dyDescent="0.3">
      <c r="A51" s="27" t="s">
        <v>56</v>
      </c>
      <c r="B51" s="27"/>
      <c r="C51" s="3"/>
      <c r="E51" s="27" t="s">
        <v>56</v>
      </c>
      <c r="F51" s="27"/>
      <c r="G51" s="3"/>
    </row>
    <row r="52" spans="1:8" ht="24" customHeight="1" x14ac:dyDescent="0.3">
      <c r="A52" s="29"/>
      <c r="B52" s="29"/>
      <c r="E52" s="35"/>
      <c r="F52" s="35"/>
      <c r="G52" s="12"/>
    </row>
    <row r="53" spans="1:8" x14ac:dyDescent="0.3">
      <c r="A53" s="2" t="s">
        <v>57</v>
      </c>
      <c r="B53" s="2" t="s">
        <v>58</v>
      </c>
      <c r="C53" s="9">
        <f>C49*C23</f>
        <v>132764.42760822625</v>
      </c>
      <c r="E53" s="2" t="s">
        <v>57</v>
      </c>
      <c r="F53" s="2" t="s">
        <v>58</v>
      </c>
      <c r="G53" s="9">
        <f>G49*G22*G17</f>
        <v>407617.65148834954</v>
      </c>
      <c r="H53" s="21"/>
    </row>
    <row r="54" spans="1:8" x14ac:dyDescent="0.3">
      <c r="A54" s="2" t="s">
        <v>59</v>
      </c>
      <c r="B54" s="2" t="s">
        <v>60</v>
      </c>
      <c r="C54" s="9">
        <f>C53*0.2</f>
        <v>26552.88552164525</v>
      </c>
      <c r="E54" s="2" t="s">
        <v>59</v>
      </c>
      <c r="F54" s="2" t="s">
        <v>60</v>
      </c>
      <c r="G54" s="9">
        <f>G53*0.2</f>
        <v>81523.530297669917</v>
      </c>
    </row>
    <row r="55" spans="1:8" x14ac:dyDescent="0.3">
      <c r="A55" s="2" t="s">
        <v>61</v>
      </c>
      <c r="B55" s="2" t="s">
        <v>62</v>
      </c>
      <c r="C55" s="9">
        <f>(C53+C54)*0.05</f>
        <v>7965.8656564935754</v>
      </c>
      <c r="E55" s="2" t="s">
        <v>61</v>
      </c>
      <c r="F55" s="2" t="s">
        <v>62</v>
      </c>
      <c r="G55" s="9">
        <f>(G53+G54)*0.05</f>
        <v>24457.059089300976</v>
      </c>
    </row>
    <row r="56" spans="1:8" ht="95.25" customHeight="1" x14ac:dyDescent="0.3">
      <c r="A56" s="23" t="s">
        <v>63</v>
      </c>
      <c r="B56" s="23"/>
      <c r="C56" s="9">
        <f>((C53+C54+C55)*C26)*1.2</f>
        <v>200739.81454363809</v>
      </c>
      <c r="E56" s="32" t="s">
        <v>63</v>
      </c>
      <c r="F56" s="33"/>
      <c r="G56" s="9">
        <f>((G53+G54+G55)*G26)*1.2</f>
        <v>616317.88905038452</v>
      </c>
    </row>
    <row r="57" spans="1:8" s="7" customFormat="1" ht="15.75" customHeight="1" x14ac:dyDescent="0.3">
      <c r="A57" s="30" t="s">
        <v>64</v>
      </c>
      <c r="B57" s="30"/>
      <c r="C57" s="15">
        <f>C56/C23</f>
        <v>557.61059595455026</v>
      </c>
      <c r="E57" s="36" t="s">
        <v>64</v>
      </c>
      <c r="F57" s="37"/>
      <c r="G57" s="15">
        <f>G56/G23</f>
        <v>667.01070243548111</v>
      </c>
    </row>
    <row r="58" spans="1:8" ht="15.75" customHeight="1" x14ac:dyDescent="0.3">
      <c r="A58" s="23" t="s">
        <v>65</v>
      </c>
      <c r="B58" s="23"/>
      <c r="C58" s="20">
        <f>C59/C57</f>
        <v>0.53800986239589399</v>
      </c>
      <c r="E58" s="32" t="s">
        <v>65</v>
      </c>
      <c r="F58" s="33"/>
      <c r="G58" s="20">
        <f>G59/G57</f>
        <v>0.4497678956343561</v>
      </c>
    </row>
    <row r="59" spans="1:8" ht="15.75" customHeight="1" x14ac:dyDescent="0.3">
      <c r="A59" s="23" t="s">
        <v>66</v>
      </c>
      <c r="B59" s="23"/>
      <c r="C59" s="9">
        <v>300</v>
      </c>
      <c r="E59" s="32" t="s">
        <v>66</v>
      </c>
      <c r="F59" s="33"/>
      <c r="G59" s="9">
        <v>300</v>
      </c>
    </row>
    <row r="61" spans="1:8" ht="52.5" customHeight="1" x14ac:dyDescent="0.3">
      <c r="A61" s="28" t="s">
        <v>84</v>
      </c>
      <c r="B61" s="28"/>
      <c r="C61" s="28"/>
      <c r="D61" s="28"/>
      <c r="E61" s="28"/>
      <c r="F61" s="28"/>
      <c r="G61" s="28"/>
    </row>
    <row r="62" spans="1:8" ht="41.25" customHeight="1" x14ac:dyDescent="0.3">
      <c r="A62" s="27" t="s">
        <v>83</v>
      </c>
      <c r="B62" s="27"/>
      <c r="C62" s="27"/>
      <c r="D62" s="27"/>
      <c r="E62" s="27"/>
      <c r="F62" s="27"/>
      <c r="G62" s="27"/>
    </row>
    <row r="64" spans="1:8" x14ac:dyDescent="0.3">
      <c r="A64" s="27" t="s">
        <v>67</v>
      </c>
      <c r="B64" s="27"/>
      <c r="C64" s="16">
        <f>(C23*C59)+(G59*G23)</f>
        <v>385200</v>
      </c>
      <c r="E64" s="21"/>
      <c r="F64" s="22"/>
    </row>
    <row r="67" spans="1:3" x14ac:dyDescent="0.3">
      <c r="A67" s="28" t="s">
        <v>85</v>
      </c>
      <c r="B67" s="28"/>
      <c r="C67" s="17"/>
    </row>
    <row r="68" spans="1:3" x14ac:dyDescent="0.3">
      <c r="B68" s="1" t="s">
        <v>68</v>
      </c>
      <c r="C68" s="12" t="s">
        <v>69</v>
      </c>
    </row>
  </sheetData>
  <autoFilter ref="A1:H68"/>
  <mergeCells count="48">
    <mergeCell ref="E59:F59"/>
    <mergeCell ref="A61:G61"/>
    <mergeCell ref="A62:G62"/>
    <mergeCell ref="A4:G4"/>
    <mergeCell ref="A5:G5"/>
    <mergeCell ref="E51:F51"/>
    <mergeCell ref="E52:F52"/>
    <mergeCell ref="E56:F56"/>
    <mergeCell ref="E57:F57"/>
    <mergeCell ref="E58:F58"/>
    <mergeCell ref="E21:F21"/>
    <mergeCell ref="E23:F23"/>
    <mergeCell ref="E30:F30"/>
    <mergeCell ref="E39:F39"/>
    <mergeCell ref="E40:F40"/>
    <mergeCell ref="E13:G13"/>
    <mergeCell ref="E15:G15"/>
    <mergeCell ref="E18:F18"/>
    <mergeCell ref="E19:F19"/>
    <mergeCell ref="E20:F20"/>
    <mergeCell ref="E7:G7"/>
    <mergeCell ref="E9:F9"/>
    <mergeCell ref="F10:G10"/>
    <mergeCell ref="E11:G11"/>
    <mergeCell ref="E12:G12"/>
    <mergeCell ref="A64:B64"/>
    <mergeCell ref="A67:B67"/>
    <mergeCell ref="A23:B23"/>
    <mergeCell ref="A13:C13"/>
    <mergeCell ref="A15:C15"/>
    <mergeCell ref="A18:B18"/>
    <mergeCell ref="A20:B20"/>
    <mergeCell ref="A21:B21"/>
    <mergeCell ref="A30:B30"/>
    <mergeCell ref="A39:B39"/>
    <mergeCell ref="A40:B40"/>
    <mergeCell ref="A51:B51"/>
    <mergeCell ref="A52:B52"/>
    <mergeCell ref="A56:B56"/>
    <mergeCell ref="A57:B57"/>
    <mergeCell ref="A58:B58"/>
    <mergeCell ref="A59:B59"/>
    <mergeCell ref="A12:C12"/>
    <mergeCell ref="A7:C7"/>
    <mergeCell ref="A9:B9"/>
    <mergeCell ref="B10:C10"/>
    <mergeCell ref="A11:C11"/>
    <mergeCell ref="A19:B19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Галеева Лариса Валерьевна</dc:creator>
  <cp:lastModifiedBy>Rita</cp:lastModifiedBy>
  <cp:lastPrinted>2025-10-23T06:33:47Z</cp:lastPrinted>
  <dcterms:created xsi:type="dcterms:W3CDTF">2022-05-06T05:35:52Z</dcterms:created>
  <dcterms:modified xsi:type="dcterms:W3CDTF">2026-08-31T16:41:43Z</dcterms:modified>
</cp:coreProperties>
</file>